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M:\Alec\Stuff for Lori\EV Charging Incentive\"/>
    </mc:Choice>
  </mc:AlternateContent>
  <xr:revisionPtr revIDLastSave="0" documentId="13_ncr:1_{1A7E11AD-6BC6-4DEB-99CE-8479064B13EE}" xr6:coauthVersionLast="47" xr6:coauthVersionMax="47" xr10:uidLastSave="{00000000-0000-0000-0000-000000000000}"/>
  <bookViews>
    <workbookView xWindow="-28920" yWindow="-120" windowWidth="29040" windowHeight="15840" tabRatio="792" xr2:uid="{00000000-000D-0000-FFFF-FFFF00000000}"/>
  </bookViews>
  <sheets>
    <sheet name="Main" sheetId="6" r:id="rId1"/>
    <sheet name="Residential Example" sheetId="1" state="hidden" r:id="rId2"/>
    <sheet name="Commercial Example" sheetId="2" state="hidden" r:id="rId3"/>
    <sheet name="REF" sheetId="3" state="hidden" r:id="rId4"/>
  </sheets>
  <definedNames>
    <definedName name="ACCT">REF!$A$7:$A$8</definedName>
    <definedName name="EVSE">REF!$B$10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9" i="3" l="1"/>
  <c r="A4" i="3" l="1"/>
  <c r="D25" i="1" l="1"/>
  <c r="D26" i="1"/>
  <c r="D27" i="1"/>
  <c r="D28" i="1"/>
  <c r="D29" i="1"/>
  <c r="D30" i="1"/>
  <c r="D31" i="1"/>
  <c r="D32" i="1"/>
  <c r="D33" i="1"/>
  <c r="D34" i="1"/>
  <c r="D35" i="1"/>
  <c r="D24" i="1"/>
  <c r="D25" i="2"/>
  <c r="D26" i="2"/>
  <c r="D27" i="2"/>
  <c r="D28" i="2"/>
  <c r="D29" i="2"/>
  <c r="D30" i="2"/>
  <c r="D31" i="2"/>
  <c r="D32" i="2"/>
  <c r="D33" i="2"/>
  <c r="D34" i="2"/>
  <c r="D35" i="2"/>
  <c r="D24" i="2"/>
  <c r="A1" i="3" l="1"/>
  <c r="A2" i="3"/>
  <c r="B4" i="3"/>
  <c r="B6" i="2"/>
  <c r="B6" i="1"/>
  <c r="A3" i="3"/>
  <c r="B12" i="3"/>
  <c r="B14" i="3" s="1"/>
  <c r="B15" i="3" s="1"/>
  <c r="B5" i="1" l="1"/>
  <c r="B47" i="1" s="1"/>
  <c r="B5" i="2"/>
  <c r="B46" i="2" s="1"/>
  <c r="D36" i="2"/>
  <c r="D36" i="1"/>
  <c r="B28" i="1" l="1"/>
  <c r="B45" i="2"/>
  <c r="B35" i="1"/>
  <c r="B11" i="1"/>
  <c r="C25" i="1"/>
  <c r="C10" i="1"/>
  <c r="B40" i="1"/>
  <c r="B18" i="1"/>
  <c r="B29" i="1"/>
  <c r="C20" i="1"/>
  <c r="B34" i="1"/>
  <c r="C13" i="2"/>
  <c r="B20" i="1"/>
  <c r="C15" i="1"/>
  <c r="B32" i="1"/>
  <c r="B44" i="1"/>
  <c r="C14" i="2"/>
  <c r="C24" i="2"/>
  <c r="C9" i="1"/>
  <c r="B24" i="1"/>
  <c r="B31" i="1"/>
  <c r="B43" i="1"/>
  <c r="C27" i="2"/>
  <c r="B12" i="2"/>
  <c r="B26" i="2"/>
  <c r="C35" i="2"/>
  <c r="B12" i="1"/>
  <c r="B15" i="1"/>
  <c r="C14" i="1"/>
  <c r="B27" i="1"/>
  <c r="C31" i="1"/>
  <c r="B39" i="1"/>
  <c r="B45" i="1"/>
  <c r="B14" i="2"/>
  <c r="B25" i="2"/>
  <c r="B43" i="2"/>
  <c r="B15" i="2"/>
  <c r="C18" i="2"/>
  <c r="B29" i="2"/>
  <c r="C31" i="2"/>
  <c r="B42" i="2"/>
  <c r="B9" i="1"/>
  <c r="B14" i="1"/>
  <c r="C12" i="1"/>
  <c r="C16" i="1"/>
  <c r="B26" i="1"/>
  <c r="C29" i="1"/>
  <c r="C33" i="1"/>
  <c r="B49" i="1"/>
  <c r="B48" i="1"/>
  <c r="B13" i="2"/>
  <c r="C9" i="2"/>
  <c r="C15" i="2"/>
  <c r="B30" i="2"/>
  <c r="C32" i="2"/>
  <c r="B44" i="2"/>
  <c r="B10" i="1"/>
  <c r="B16" i="1"/>
  <c r="C11" i="1"/>
  <c r="C18" i="1"/>
  <c r="B25" i="1"/>
  <c r="E25" i="1" s="1"/>
  <c r="C27" i="1"/>
  <c r="E27" i="1" s="1"/>
  <c r="B30" i="1"/>
  <c r="B33" i="1"/>
  <c r="C35" i="1"/>
  <c r="B42" i="1"/>
  <c r="B46" i="1"/>
  <c r="B9" i="2"/>
  <c r="B18" i="2"/>
  <c r="C12" i="2"/>
  <c r="B24" i="2"/>
  <c r="B33" i="2"/>
  <c r="C28" i="2"/>
  <c r="B39" i="2"/>
  <c r="B48" i="2"/>
  <c r="B20" i="2"/>
  <c r="B11" i="2"/>
  <c r="B17" i="2"/>
  <c r="C20" i="2"/>
  <c r="C11" i="2"/>
  <c r="C17" i="2"/>
  <c r="B28" i="2"/>
  <c r="B34" i="2"/>
  <c r="B32" i="2"/>
  <c r="C25" i="2"/>
  <c r="C29" i="2"/>
  <c r="C33" i="2"/>
  <c r="B50" i="2"/>
  <c r="B41" i="2"/>
  <c r="B47" i="2"/>
  <c r="B13" i="1"/>
  <c r="B19" i="1"/>
  <c r="B17" i="1"/>
  <c r="C13" i="1"/>
  <c r="C19" i="1"/>
  <c r="C17" i="1"/>
  <c r="C24" i="1"/>
  <c r="C26" i="1"/>
  <c r="C28" i="1"/>
  <c r="C30" i="1"/>
  <c r="C32" i="1"/>
  <c r="C34" i="1"/>
  <c r="B50" i="1"/>
  <c r="B41" i="1"/>
  <c r="B19" i="2"/>
  <c r="B10" i="2"/>
  <c r="B16" i="2"/>
  <c r="C19" i="2"/>
  <c r="C10" i="2"/>
  <c r="C16" i="2"/>
  <c r="B27" i="2"/>
  <c r="B35" i="2"/>
  <c r="B31" i="2"/>
  <c r="C26" i="2"/>
  <c r="C30" i="2"/>
  <c r="C34" i="2"/>
  <c r="B49" i="2"/>
  <c r="B40" i="2"/>
  <c r="E28" i="1" l="1"/>
  <c r="D9" i="2"/>
  <c r="E35" i="1"/>
  <c r="E33" i="1"/>
  <c r="D18" i="1"/>
  <c r="D11" i="1"/>
  <c r="D20" i="2"/>
  <c r="D10" i="1"/>
  <c r="D16" i="1"/>
  <c r="D18" i="2"/>
  <c r="D14" i="2"/>
  <c r="E29" i="1"/>
  <c r="E34" i="1"/>
  <c r="D12" i="2"/>
  <c r="D9" i="1"/>
  <c r="D15" i="1"/>
  <c r="E32" i="1"/>
  <c r="E31" i="1"/>
  <c r="D20" i="1"/>
  <c r="E35" i="2"/>
  <c r="E33" i="2"/>
  <c r="E24" i="1"/>
  <c r="E24" i="2"/>
  <c r="D13" i="2"/>
  <c r="D12" i="1"/>
  <c r="E27" i="2"/>
  <c r="E26" i="2"/>
  <c r="E31" i="2"/>
  <c r="E30" i="1"/>
  <c r="D14" i="1"/>
  <c r="D15" i="2"/>
  <c r="E32" i="2"/>
  <c r="E30" i="2"/>
  <c r="E26" i="1"/>
  <c r="D17" i="2"/>
  <c r="D19" i="2"/>
  <c r="D17" i="1"/>
  <c r="D11" i="2"/>
  <c r="E29" i="2"/>
  <c r="B36" i="1"/>
  <c r="B21" i="1"/>
  <c r="B51" i="2"/>
  <c r="B51" i="1"/>
  <c r="C21" i="2"/>
  <c r="B21" i="2"/>
  <c r="C21" i="1"/>
  <c r="B36" i="2"/>
  <c r="C36" i="2"/>
  <c r="E34" i="2"/>
  <c r="D19" i="1"/>
  <c r="E28" i="2"/>
  <c r="D16" i="2"/>
  <c r="C36" i="1"/>
  <c r="E25" i="2"/>
  <c r="D10" i="2"/>
  <c r="D13" i="1"/>
  <c r="B3" i="3" l="1"/>
  <c r="E36" i="1"/>
  <c r="E36" i="2"/>
  <c r="D21" i="1"/>
  <c r="D21" i="2"/>
  <c r="B1" i="3" l="1"/>
  <c r="B2" i="3"/>
  <c r="B21" i="3" l="1"/>
  <c r="B24" i="6" s="1"/>
  <c r="B18" i="3"/>
  <c r="B23" i="6" s="1"/>
  <c r="C2" i="3"/>
</calcChain>
</file>

<file path=xl/sharedStrings.xml><?xml version="1.0" encoding="utf-8"?>
<sst xmlns="http://schemas.openxmlformats.org/spreadsheetml/2006/main" count="135" uniqueCount="46">
  <si>
    <t>Average Monthly EV Energy Use:</t>
  </si>
  <si>
    <t>Average Charging Shifted to Evening Hours:</t>
  </si>
  <si>
    <t>Jan</t>
  </si>
  <si>
    <t>Feb</t>
  </si>
  <si>
    <t>Mar</t>
  </si>
  <si>
    <t>Apr</t>
  </si>
  <si>
    <t>May</t>
  </si>
  <si>
    <t>Jun</t>
  </si>
  <si>
    <t>Jul</t>
  </si>
  <si>
    <t>Aug</t>
  </si>
  <si>
    <t>Sep</t>
  </si>
  <si>
    <t>Oct</t>
  </si>
  <si>
    <t>Nov</t>
  </si>
  <si>
    <t>Dec</t>
  </si>
  <si>
    <t>Daytime Charging Cost</t>
  </si>
  <si>
    <t>Nighttime Charging Cost</t>
  </si>
  <si>
    <t>Total EV Charging Cost</t>
  </si>
  <si>
    <t>Nov-May</t>
  </si>
  <si>
    <t>Jun-Oct</t>
  </si>
  <si>
    <t>Rate 93 - Small Commercial:</t>
  </si>
  <si>
    <t xml:space="preserve">Rate 20 - Small Commercial: </t>
  </si>
  <si>
    <t>Rate 10 - Residential:</t>
  </si>
  <si>
    <t xml:space="preserve">Rate 93 - Residential: </t>
  </si>
  <si>
    <t>Energy Charge</t>
  </si>
  <si>
    <t>Rate 94 EVSE Cost</t>
  </si>
  <si>
    <t>Annual</t>
  </si>
  <si>
    <t xml:space="preserve">How many miles do you drive each year?  </t>
  </si>
  <si>
    <t xml:space="preserve">What percentage of your total charging would you plan to complete between 10PM and 5AM?  </t>
  </si>
  <si>
    <t xml:space="preserve">Please select your account type: </t>
  </si>
  <si>
    <t>Small Commercial</t>
  </si>
  <si>
    <t>Total miles</t>
  </si>
  <si>
    <t>Residential</t>
  </si>
  <si>
    <t>Fuel Economy</t>
  </si>
  <si>
    <t>Total kWh</t>
  </si>
  <si>
    <t>Monthly kWh</t>
  </si>
  <si>
    <t xml:space="preserve">Equivalent Vehicle MPG </t>
  </si>
  <si>
    <t>Current Price of Gasoline ($/gal)</t>
  </si>
  <si>
    <t>Off-Peak Charging and Equipment Rental</t>
  </si>
  <si>
    <t>Off-Peak Charging Rate Only*</t>
  </si>
  <si>
    <t>General Residential Rate**</t>
  </si>
  <si>
    <t>Small Commercial Rate**</t>
  </si>
  <si>
    <t>Cost of EV Charging Station and Metering Point</t>
  </si>
  <si>
    <t>Simple Payback - Off Peak</t>
  </si>
  <si>
    <t>Simple Payback - Non Participant</t>
  </si>
  <si>
    <t>Rate 94 Monthly Fee</t>
  </si>
  <si>
    <t xml:space="preserve">*updated for new rates Oct 1,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</si>
</sst>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0000_);_(&quot;$&quot;* \(#,##0.0000\);_(&quot;$&quot;* &quot;-&quot;??_);_(@_)"/>
    <numFmt numFmtId="165" formatCode="&quot;$&quot;#,##0.00"/>
    <numFmt numFmtId="166" formatCode="&quot;$&quot;#,##0"/>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i/>
      <sz val="11"/>
      <color theme="9" tint="-0.49998474074526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5">
    <xf numFmtId="0" fontId="0" fillId="0" borderId="0" xfId="0"/>
    <xf numFmtId="9" fontId="0" fillId="0" borderId="0" xfId="0" applyNumberFormat="1"/>
    <xf numFmtId="2" fontId="0" fillId="0" borderId="0" xfId="0" applyNumberFormat="1"/>
    <xf numFmtId="0" fontId="0" fillId="0" borderId="0" xfId="0" applyAlignment="1">
      <alignment wrapText="1"/>
    </xf>
    <xf numFmtId="0" fontId="2" fillId="0" borderId="0" xfId="0" applyFont="1" applyAlignment="1">
      <alignment vertical="center"/>
    </xf>
    <xf numFmtId="0" fontId="2" fillId="0" borderId="0" xfId="0" applyFont="1" applyAlignment="1">
      <alignment horizontal="center" vertical="center" wrapText="1"/>
    </xf>
    <xf numFmtId="0" fontId="2" fillId="0" borderId="0" xfId="0" applyFont="1"/>
    <xf numFmtId="0" fontId="2" fillId="0" borderId="0" xfId="0" applyFont="1" applyAlignment="1">
      <alignment horizontal="center"/>
    </xf>
    <xf numFmtId="0" fontId="2" fillId="0" borderId="0" xfId="0" applyFont="1" applyAlignment="1">
      <alignment horizontal="left"/>
    </xf>
    <xf numFmtId="44" fontId="0" fillId="0" borderId="0" xfId="1" applyFont="1"/>
    <xf numFmtId="0" fontId="4" fillId="2" borderId="0" xfId="0" applyFont="1" applyFill="1"/>
    <xf numFmtId="0" fontId="4" fillId="2" borderId="0" xfId="0" applyFont="1" applyFill="1" applyAlignment="1">
      <alignment vertical="center"/>
    </xf>
    <xf numFmtId="0" fontId="4" fillId="2" borderId="0" xfId="0" applyFont="1" applyFill="1" applyAlignment="1">
      <alignment vertical="center" wrapText="1"/>
    </xf>
    <xf numFmtId="3" fontId="0" fillId="0" borderId="0" xfId="0" applyNumberFormat="1"/>
    <xf numFmtId="44" fontId="0" fillId="0" borderId="0" xfId="0" applyNumberFormat="1"/>
    <xf numFmtId="0" fontId="4" fillId="2" borderId="1" xfId="0" applyFont="1" applyFill="1" applyBorder="1" applyAlignment="1" applyProtection="1">
      <alignment horizontal="center" vertical="center"/>
      <protection locked="0"/>
    </xf>
    <xf numFmtId="3" fontId="4" fillId="2" borderId="1" xfId="0" applyNumberFormat="1" applyFont="1" applyFill="1" applyBorder="1" applyAlignment="1" applyProtection="1">
      <alignment horizontal="center" vertical="center"/>
      <protection locked="0"/>
    </xf>
    <xf numFmtId="9" fontId="4" fillId="2" borderId="1" xfId="2" applyFont="1" applyFill="1" applyBorder="1" applyAlignment="1" applyProtection="1">
      <alignment horizontal="center" vertical="center"/>
      <protection locked="0"/>
    </xf>
    <xf numFmtId="165" fontId="4" fillId="2" borderId="1" xfId="1" applyNumberFormat="1" applyFont="1" applyFill="1" applyBorder="1" applyAlignment="1" applyProtection="1">
      <alignment horizontal="center" vertical="center"/>
      <protection locked="0"/>
    </xf>
    <xf numFmtId="166" fontId="4" fillId="2" borderId="1" xfId="0" applyNumberFormat="1" applyFont="1" applyFill="1" applyBorder="1" applyAlignment="1" applyProtection="1">
      <alignment horizontal="center" vertical="center"/>
      <protection locked="0"/>
    </xf>
    <xf numFmtId="0" fontId="0" fillId="0" borderId="0" xfId="0" applyNumberFormat="1"/>
    <xf numFmtId="164" fontId="0" fillId="3" borderId="0" xfId="1" applyNumberFormat="1" applyFont="1" applyFill="1"/>
    <xf numFmtId="0" fontId="5" fillId="0" borderId="0" xfId="0" applyFont="1"/>
    <xf numFmtId="0" fontId="0" fillId="3" borderId="0" xfId="0" applyFill="1"/>
    <xf numFmtId="0" fontId="3" fillId="2" borderId="0" xfId="0" applyFont="1" applyFill="1" applyAlignment="1">
      <alignment horizontal="left"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a:t>Estimated Annual</a:t>
            </a:r>
            <a:r>
              <a:rPr lang="en-US" sz="1800" b="1" baseline="0"/>
              <a:t> Cost to Charge Your Electric Vehicle</a:t>
            </a:r>
            <a:endParaRPr lang="en-US" sz="18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3"/>
            <c:invertIfNegative val="0"/>
            <c:bubble3D val="0"/>
            <c:spPr>
              <a:solidFill>
                <a:schemeClr val="bg2">
                  <a:lumMod val="50000"/>
                </a:schemeClr>
              </a:solidFill>
              <a:ln>
                <a:noFill/>
              </a:ln>
              <a:effectLst/>
            </c:spPr>
            <c:extLst>
              <c:ext xmlns:c16="http://schemas.microsoft.com/office/drawing/2014/chart" uri="{C3380CC4-5D6E-409C-BE32-E72D297353CC}">
                <c16:uniqueId val="{00000001-7390-4CBA-A45E-79F08BE60E0C}"/>
              </c:ext>
            </c:extLst>
          </c:dPt>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REF!$A$1:$A$4</c:f>
              <c:strCache>
                <c:ptCount val="4"/>
                <c:pt idx="0">
                  <c:v>Off-Peak Charging Rate Only*</c:v>
                </c:pt>
                <c:pt idx="1">
                  <c:v>Off-Peak Charging and Equipment Rental</c:v>
                </c:pt>
                <c:pt idx="2">
                  <c:v>General Residential Rate**</c:v>
                </c:pt>
                <c:pt idx="3">
                  <c:v>Cost for Gas Vehicle at 25 MPG</c:v>
                </c:pt>
              </c:strCache>
            </c:strRef>
          </c:cat>
          <c:val>
            <c:numRef>
              <c:f>REF!$B$1:$B$4</c:f>
              <c:numCache>
                <c:formatCode>_("$"* #,##0.00_);_("$"* \(#,##0.00\);_("$"* "-"??_);_(@_)</c:formatCode>
                <c:ptCount val="4"/>
                <c:pt idx="0">
                  <c:v>219.61616161616158</c:v>
                </c:pt>
                <c:pt idx="1">
                  <c:v>346.69616161616165</c:v>
                </c:pt>
                <c:pt idx="2">
                  <c:v>339.21717171717171</c:v>
                </c:pt>
                <c:pt idx="3">
                  <c:v>1939.9999999999998</c:v>
                </c:pt>
              </c:numCache>
            </c:numRef>
          </c:val>
          <c:extLst>
            <c:ext xmlns:c16="http://schemas.microsoft.com/office/drawing/2014/chart" uri="{C3380CC4-5D6E-409C-BE32-E72D297353CC}">
              <c16:uniqueId val="{00000000-7390-4CBA-A45E-79F08BE60E0C}"/>
            </c:ext>
          </c:extLst>
        </c:ser>
        <c:dLbls>
          <c:showLegendKey val="0"/>
          <c:showVal val="0"/>
          <c:showCatName val="0"/>
          <c:showSerName val="0"/>
          <c:showPercent val="0"/>
          <c:showBubbleSize val="0"/>
        </c:dLbls>
        <c:gapWidth val="219"/>
        <c:overlap val="-27"/>
        <c:axId val="528999496"/>
        <c:axId val="528999824"/>
      </c:barChart>
      <c:catAx>
        <c:axId val="528999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528999824"/>
        <c:crosses val="autoZero"/>
        <c:auto val="1"/>
        <c:lblAlgn val="ctr"/>
        <c:lblOffset val="100"/>
        <c:noMultiLvlLbl val="0"/>
      </c:catAx>
      <c:valAx>
        <c:axId val="528999824"/>
        <c:scaling>
          <c:orientation val="minMax"/>
        </c:scaling>
        <c:delete val="1"/>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crossAx val="5289994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28573</xdr:colOff>
      <xdr:row>4</xdr:row>
      <xdr:rowOff>233362</xdr:rowOff>
    </xdr:from>
    <xdr:to>
      <xdr:col>6</xdr:col>
      <xdr:colOff>19050</xdr:colOff>
      <xdr:row>22</xdr:row>
      <xdr:rowOff>0</xdr:rowOff>
    </xdr:to>
    <xdr:graphicFrame macro="">
      <xdr:nvGraphicFramePr>
        <xdr:cNvPr id="2" name="Chart 1">
          <a:extLst>
            <a:ext uri="{FF2B5EF4-FFF2-40B4-BE49-F238E27FC236}">
              <a16:creationId xmlns:a16="http://schemas.microsoft.com/office/drawing/2014/main" id="{AE3119E9-F8D6-4743-BB55-EACF8A0EB0D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24"/>
  <sheetViews>
    <sheetView tabSelected="1" workbookViewId="0">
      <selection activeCell="F4" sqref="F4"/>
    </sheetView>
  </sheetViews>
  <sheetFormatPr defaultRowHeight="18.75" x14ac:dyDescent="0.3"/>
  <cols>
    <col min="1" max="1" width="2.7109375" style="10" customWidth="1"/>
    <col min="2" max="2" width="58.7109375" style="10" customWidth="1"/>
    <col min="3" max="3" width="25.7109375" style="10" customWidth="1"/>
    <col min="4" max="4" width="5.7109375" style="10" customWidth="1"/>
    <col min="5" max="5" width="38.5703125" style="10" bestFit="1" customWidth="1"/>
    <col min="6" max="6" width="20.7109375" style="10" customWidth="1"/>
    <col min="7" max="16384" width="9.140625" style="10"/>
  </cols>
  <sheetData>
    <row r="1" spans="2:6" ht="9.9499999999999993" customHeight="1" x14ac:dyDescent="0.3"/>
    <row r="2" spans="2:6" s="11" customFormat="1" ht="37.5" customHeight="1" x14ac:dyDescent="0.25">
      <c r="B2" s="11" t="s">
        <v>28</v>
      </c>
      <c r="C2" s="15" t="s">
        <v>31</v>
      </c>
      <c r="E2" s="11" t="s">
        <v>35</v>
      </c>
      <c r="F2" s="15">
        <v>25</v>
      </c>
    </row>
    <row r="3" spans="2:6" s="11" customFormat="1" ht="37.5" customHeight="1" x14ac:dyDescent="0.25">
      <c r="B3" s="11" t="s">
        <v>26</v>
      </c>
      <c r="C3" s="16">
        <v>10000</v>
      </c>
      <c r="E3" s="11" t="s">
        <v>36</v>
      </c>
      <c r="F3" s="18">
        <v>4.8499999999999996</v>
      </c>
    </row>
    <row r="4" spans="2:6" s="11" customFormat="1" ht="37.5" customHeight="1" x14ac:dyDescent="0.25">
      <c r="B4" s="12" t="s">
        <v>27</v>
      </c>
      <c r="C4" s="17">
        <v>0.7</v>
      </c>
      <c r="E4" s="12" t="s">
        <v>41</v>
      </c>
      <c r="F4" s="19">
        <v>1500</v>
      </c>
    </row>
    <row r="23" spans="2:6" s="12" customFormat="1" ht="37.5" customHeight="1" x14ac:dyDescent="0.25">
      <c r="B23" s="24" t="str">
        <f>"* This option requires the purchase of your own charging station and metering point.  At the level of savings shown, the simple payback is "&amp;REF!B18&amp;" years when compared with participating in the Rate 93 off-peak charging rate while renting equipment from AEL&amp;P under Rate 94."</f>
        <v>* This option requires the purchase of your own charging station and metering point.  At the level of savings shown, the simple payback is 11.8 years when compared with participating in the Rate 93 off-peak charging rate while renting equipment from AEL&amp;P under Rate 94.</v>
      </c>
      <c r="C23" s="24"/>
      <c r="D23" s="24"/>
      <c r="E23" s="24"/>
      <c r="F23" s="24"/>
    </row>
    <row r="24" spans="2:6" ht="37.5" customHeight="1" x14ac:dyDescent="0.3">
      <c r="B24" s="24" t="str">
        <f>"** Level II charging at this rate will require purchase of a charging station for around $600, which would "&amp;REF!B21&amp;" when compared with participating in the Rate 93 off-peak charging rate while renting equipment from AEL&amp;P under Rate 94."</f>
        <v>** Level II charging at this rate will require purchase of a charging station for around $600, which would have a simple payback of 80.2 years when compared with participating in the Rate 93 off-peak charging rate while renting equipment from AEL&amp;P under Rate 94.</v>
      </c>
      <c r="C24" s="24"/>
      <c r="D24" s="24"/>
      <c r="E24" s="24"/>
      <c r="F24" s="24"/>
    </row>
  </sheetData>
  <sheetProtection sheet="1" selectLockedCells="1"/>
  <mergeCells count="2">
    <mergeCell ref="B23:F23"/>
    <mergeCell ref="B24:F24"/>
  </mergeCells>
  <dataValidations count="2">
    <dataValidation type="list" allowBlank="1" showInputMessage="1" showErrorMessage="1" sqref="C2" xr:uid="{00000000-0002-0000-0000-000000000000}">
      <formula1>ACCT</formula1>
    </dataValidation>
    <dataValidation type="decimal" allowBlank="1" showInputMessage="1" showErrorMessage="1" sqref="C4" xr:uid="{00000000-0002-0000-0000-000001000000}">
      <formula1>0</formula1>
      <formula2>1</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1"/>
  <sheetViews>
    <sheetView workbookViewId="0">
      <selection activeCell="G14" sqref="G14"/>
    </sheetView>
  </sheetViews>
  <sheetFormatPr defaultRowHeight="15" x14ac:dyDescent="0.25"/>
  <cols>
    <col min="1" max="1" width="41.140625" bestFit="1" customWidth="1"/>
    <col min="2" max="5" width="15.7109375" customWidth="1"/>
  </cols>
  <sheetData>
    <row r="1" spans="1:7" x14ac:dyDescent="0.25">
      <c r="A1" s="6" t="s">
        <v>23</v>
      </c>
      <c r="B1" s="7" t="s">
        <v>17</v>
      </c>
      <c r="C1" s="7" t="s">
        <v>18</v>
      </c>
      <c r="D1" s="7"/>
      <c r="E1" s="7"/>
    </row>
    <row r="2" spans="1:7" x14ac:dyDescent="0.25">
      <c r="A2" s="6" t="s">
        <v>21</v>
      </c>
      <c r="B2" s="21">
        <v>0.12089999999999999</v>
      </c>
      <c r="C2" s="21">
        <v>9.9400000000000002E-2</v>
      </c>
      <c r="D2" s="22" t="s">
        <v>45</v>
      </c>
    </row>
    <row r="3" spans="1:7" x14ac:dyDescent="0.25">
      <c r="A3" s="8" t="s">
        <v>22</v>
      </c>
      <c r="B3" s="21">
        <v>5.8599999999999999E-2</v>
      </c>
      <c r="C3" s="21">
        <v>5.1299999999999998E-2</v>
      </c>
      <c r="D3" s="22" t="s">
        <v>45</v>
      </c>
    </row>
    <row r="5" spans="1:7" x14ac:dyDescent="0.25">
      <c r="A5" s="6" t="s">
        <v>0</v>
      </c>
      <c r="B5">
        <f>REF!B15</f>
        <v>252.52525252525254</v>
      </c>
    </row>
    <row r="6" spans="1:7" x14ac:dyDescent="0.25">
      <c r="A6" s="6" t="s">
        <v>1</v>
      </c>
      <c r="B6" s="1">
        <f>Main!C4</f>
        <v>0.7</v>
      </c>
    </row>
    <row r="8" spans="1:7" s="3" customFormat="1" ht="30" customHeight="1" x14ac:dyDescent="0.25">
      <c r="A8" s="4" t="s">
        <v>38</v>
      </c>
      <c r="B8" s="5" t="s">
        <v>14</v>
      </c>
      <c r="C8" s="5" t="s">
        <v>15</v>
      </c>
      <c r="D8" s="5" t="s">
        <v>16</v>
      </c>
      <c r="E8" s="5"/>
    </row>
    <row r="9" spans="1:7" x14ac:dyDescent="0.25">
      <c r="A9" t="s">
        <v>2</v>
      </c>
      <c r="B9" s="2">
        <f>$B$5*(1-$B$6)*$B$2</f>
        <v>9.1590909090909118</v>
      </c>
      <c r="C9" s="2">
        <f>$B$5*$B$6*$B$3</f>
        <v>10.358585858585858</v>
      </c>
      <c r="D9" s="2">
        <f>B9+C9</f>
        <v>19.517676767676768</v>
      </c>
      <c r="E9" s="2"/>
    </row>
    <row r="10" spans="1:7" x14ac:dyDescent="0.25">
      <c r="A10" t="s">
        <v>3</v>
      </c>
      <c r="B10" s="2">
        <f>$B$5*(1-$B$6)*$B$2</f>
        <v>9.1590909090909118</v>
      </c>
      <c r="C10" s="2">
        <f>$B$5*$B$6*$B$3</f>
        <v>10.358585858585858</v>
      </c>
      <c r="D10" s="2">
        <f t="shared" ref="D10:D20" si="0">B10+C10</f>
        <v>19.517676767676768</v>
      </c>
      <c r="E10" s="2"/>
    </row>
    <row r="11" spans="1:7" x14ac:dyDescent="0.25">
      <c r="A11" t="s">
        <v>4</v>
      </c>
      <c r="B11" s="2">
        <f>$B$5*(1-$B$6)*$B$2</f>
        <v>9.1590909090909118</v>
      </c>
      <c r="C11" s="2">
        <f>$B$5*$B$6*$B$3</f>
        <v>10.358585858585858</v>
      </c>
      <c r="D11" s="2">
        <f t="shared" si="0"/>
        <v>19.517676767676768</v>
      </c>
      <c r="E11" s="2"/>
    </row>
    <row r="12" spans="1:7" x14ac:dyDescent="0.25">
      <c r="A12" t="s">
        <v>5</v>
      </c>
      <c r="B12" s="2">
        <f>$B$5*(1-$B$6)*$B$2</f>
        <v>9.1590909090909118</v>
      </c>
      <c r="C12" s="2">
        <f>$B$5*$B$6*$B$3</f>
        <v>10.358585858585858</v>
      </c>
      <c r="D12" s="2">
        <f t="shared" si="0"/>
        <v>19.517676767676768</v>
      </c>
      <c r="E12" s="2"/>
    </row>
    <row r="13" spans="1:7" x14ac:dyDescent="0.25">
      <c r="A13" t="s">
        <v>6</v>
      </c>
      <c r="B13" s="2">
        <f>$B$5*(1-$B$6)*$B$2</f>
        <v>9.1590909090909118</v>
      </c>
      <c r="C13" s="2">
        <f>$B$5*$B$6*$B$3</f>
        <v>10.358585858585858</v>
      </c>
      <c r="D13" s="2">
        <f t="shared" si="0"/>
        <v>19.517676767676768</v>
      </c>
      <c r="E13" s="2"/>
    </row>
    <row r="14" spans="1:7" x14ac:dyDescent="0.25">
      <c r="A14" t="s">
        <v>7</v>
      </c>
      <c r="B14" s="2">
        <f>$B$5*(1-$B$6)*$C$2</f>
        <v>7.5303030303030329</v>
      </c>
      <c r="C14" s="2">
        <f>$B$5*$B$6*$C$3</f>
        <v>9.0681818181818183</v>
      </c>
      <c r="D14" s="2">
        <f t="shared" si="0"/>
        <v>16.598484848484851</v>
      </c>
      <c r="E14" s="2"/>
      <c r="G14" s="2"/>
    </row>
    <row r="15" spans="1:7" x14ac:dyDescent="0.25">
      <c r="A15" t="s">
        <v>8</v>
      </c>
      <c r="B15" s="2">
        <f>$B$5*(1-$B$6)*$C$2</f>
        <v>7.5303030303030329</v>
      </c>
      <c r="C15" s="2">
        <f>$B$5*$B$6*$C$3</f>
        <v>9.0681818181818183</v>
      </c>
      <c r="D15" s="2">
        <f t="shared" si="0"/>
        <v>16.598484848484851</v>
      </c>
      <c r="E15" s="2"/>
    </row>
    <row r="16" spans="1:7" x14ac:dyDescent="0.25">
      <c r="A16" t="s">
        <v>9</v>
      </c>
      <c r="B16" s="2">
        <f>$B$5*(1-$B$6)*$C$2</f>
        <v>7.5303030303030329</v>
      </c>
      <c r="C16" s="2">
        <f>$B$5*$B$6*$C$3</f>
        <v>9.0681818181818183</v>
      </c>
      <c r="D16" s="2">
        <f t="shared" si="0"/>
        <v>16.598484848484851</v>
      </c>
      <c r="E16" s="2"/>
    </row>
    <row r="17" spans="1:7" x14ac:dyDescent="0.25">
      <c r="A17" t="s">
        <v>10</v>
      </c>
      <c r="B17" s="2">
        <f>$B$5*(1-$B$6)*$C$2</f>
        <v>7.5303030303030329</v>
      </c>
      <c r="C17" s="2">
        <f>$B$5*$B$6*$C$3</f>
        <v>9.0681818181818183</v>
      </c>
      <c r="D17" s="2">
        <f t="shared" si="0"/>
        <v>16.598484848484851</v>
      </c>
      <c r="E17" s="2"/>
    </row>
    <row r="18" spans="1:7" x14ac:dyDescent="0.25">
      <c r="A18" t="s">
        <v>11</v>
      </c>
      <c r="B18" s="2">
        <f>$B$5*(1-$B$6)*$C$2</f>
        <v>7.5303030303030329</v>
      </c>
      <c r="C18" s="2">
        <f>$B$5*$B$6*$C$3</f>
        <v>9.0681818181818183</v>
      </c>
      <c r="D18" s="2">
        <f t="shared" si="0"/>
        <v>16.598484848484851</v>
      </c>
      <c r="E18" s="2"/>
    </row>
    <row r="19" spans="1:7" x14ac:dyDescent="0.25">
      <c r="A19" t="s">
        <v>12</v>
      </c>
      <c r="B19" s="2">
        <f>$B$5*(1-$B$6)*$B$2</f>
        <v>9.1590909090909118</v>
      </c>
      <c r="C19" s="2">
        <f>$B$5*$B$6*$B$3</f>
        <v>10.358585858585858</v>
      </c>
      <c r="D19" s="2">
        <f t="shared" si="0"/>
        <v>19.517676767676768</v>
      </c>
      <c r="E19" s="2"/>
    </row>
    <row r="20" spans="1:7" x14ac:dyDescent="0.25">
      <c r="A20" t="s">
        <v>13</v>
      </c>
      <c r="B20" s="2">
        <f>$B$5*(1-$B$6)*$B$2</f>
        <v>9.1590909090909118</v>
      </c>
      <c r="C20" s="2">
        <f>$B$5*$B$6*$B$3</f>
        <v>10.358585858585858</v>
      </c>
      <c r="D20" s="2">
        <f t="shared" si="0"/>
        <v>19.517676767676768</v>
      </c>
      <c r="E20" s="2"/>
    </row>
    <row r="21" spans="1:7" x14ac:dyDescent="0.25">
      <c r="A21" t="s">
        <v>25</v>
      </c>
      <c r="B21" s="9">
        <f>SUM(B9:B20)</f>
        <v>101.76515151515153</v>
      </c>
      <c r="C21" s="9">
        <f t="shared" ref="C21:D21" si="1">SUM(C9:C20)</f>
        <v>117.85101010101008</v>
      </c>
      <c r="D21" s="9">
        <f t="shared" si="1"/>
        <v>219.61616161616158</v>
      </c>
      <c r="E21" s="2"/>
    </row>
    <row r="23" spans="1:7" s="3" customFormat="1" ht="30" customHeight="1" x14ac:dyDescent="0.25">
      <c r="A23" s="4" t="s">
        <v>37</v>
      </c>
      <c r="B23" s="5" t="s">
        <v>14</v>
      </c>
      <c r="C23" s="5" t="s">
        <v>15</v>
      </c>
      <c r="D23" s="5" t="s">
        <v>24</v>
      </c>
      <c r="E23" s="5" t="s">
        <v>16</v>
      </c>
    </row>
    <row r="24" spans="1:7" x14ac:dyDescent="0.25">
      <c r="A24" t="s">
        <v>2</v>
      </c>
      <c r="B24" s="2">
        <f>$B$5*(1-$B$6)*$B$2</f>
        <v>9.1590909090909118</v>
      </c>
      <c r="C24" s="2">
        <f>$B$5*$B$6*$B$3</f>
        <v>10.358585858585858</v>
      </c>
      <c r="D24">
        <f t="shared" ref="D24:D35" si="2">EVSE</f>
        <v>10.59</v>
      </c>
      <c r="E24" s="2">
        <f>B24+C24+D24</f>
        <v>30.107676767676768</v>
      </c>
    </row>
    <row r="25" spans="1:7" x14ac:dyDescent="0.25">
      <c r="A25" t="s">
        <v>3</v>
      </c>
      <c r="B25" s="2">
        <f>$B$5*(1-$B$6)*$B$2</f>
        <v>9.1590909090909118</v>
      </c>
      <c r="C25" s="2">
        <f>$B$5*$B$6*$B$3</f>
        <v>10.358585858585858</v>
      </c>
      <c r="D25">
        <f t="shared" si="2"/>
        <v>10.59</v>
      </c>
      <c r="E25" s="2">
        <f t="shared" ref="E25:E35" si="3">B25+C25+D25</f>
        <v>30.107676767676768</v>
      </c>
    </row>
    <row r="26" spans="1:7" x14ac:dyDescent="0.25">
      <c r="A26" t="s">
        <v>4</v>
      </c>
      <c r="B26" s="2">
        <f>$B$5*(1-$B$6)*$B$2</f>
        <v>9.1590909090909118</v>
      </c>
      <c r="C26" s="2">
        <f>$B$5*$B$6*$B$3</f>
        <v>10.358585858585858</v>
      </c>
      <c r="D26">
        <f t="shared" si="2"/>
        <v>10.59</v>
      </c>
      <c r="E26" s="2">
        <f t="shared" si="3"/>
        <v>30.107676767676768</v>
      </c>
    </row>
    <row r="27" spans="1:7" x14ac:dyDescent="0.25">
      <c r="A27" t="s">
        <v>5</v>
      </c>
      <c r="B27" s="2">
        <f>$B$5*(1-$B$6)*$B$2</f>
        <v>9.1590909090909118</v>
      </c>
      <c r="C27" s="2">
        <f>$B$5*$B$6*$B$3</f>
        <v>10.358585858585858</v>
      </c>
      <c r="D27">
        <f t="shared" si="2"/>
        <v>10.59</v>
      </c>
      <c r="E27" s="2">
        <f t="shared" si="3"/>
        <v>30.107676767676768</v>
      </c>
    </row>
    <row r="28" spans="1:7" x14ac:dyDescent="0.25">
      <c r="A28" t="s">
        <v>6</v>
      </c>
      <c r="B28" s="2">
        <f>$B$5*(1-$B$6)*$B$2</f>
        <v>9.1590909090909118</v>
      </c>
      <c r="C28" s="2">
        <f>$B$5*$B$6*$B$3</f>
        <v>10.358585858585858</v>
      </c>
      <c r="D28">
        <f t="shared" si="2"/>
        <v>10.59</v>
      </c>
      <c r="E28" s="2">
        <f t="shared" si="3"/>
        <v>30.107676767676768</v>
      </c>
    </row>
    <row r="29" spans="1:7" x14ac:dyDescent="0.25">
      <c r="A29" t="s">
        <v>7</v>
      </c>
      <c r="B29" s="2">
        <f>$B$5*(1-$B$6)*$C$2</f>
        <v>7.5303030303030329</v>
      </c>
      <c r="C29" s="2">
        <f>$B$5*$B$6*$C$3</f>
        <v>9.0681818181818183</v>
      </c>
      <c r="D29">
        <f t="shared" si="2"/>
        <v>10.59</v>
      </c>
      <c r="E29" s="2">
        <f t="shared" si="3"/>
        <v>27.188484848484851</v>
      </c>
      <c r="G29" s="2"/>
    </row>
    <row r="30" spans="1:7" x14ac:dyDescent="0.25">
      <c r="A30" t="s">
        <v>8</v>
      </c>
      <c r="B30" s="2">
        <f>$B$5*(1-$B$6)*$C$2</f>
        <v>7.5303030303030329</v>
      </c>
      <c r="C30" s="2">
        <f>$B$5*$B$6*$C$3</f>
        <v>9.0681818181818183</v>
      </c>
      <c r="D30">
        <f t="shared" si="2"/>
        <v>10.59</v>
      </c>
      <c r="E30" s="2">
        <f t="shared" si="3"/>
        <v>27.188484848484851</v>
      </c>
    </row>
    <row r="31" spans="1:7" x14ac:dyDescent="0.25">
      <c r="A31" t="s">
        <v>9</v>
      </c>
      <c r="B31" s="2">
        <f>$B$5*(1-$B$6)*$C$2</f>
        <v>7.5303030303030329</v>
      </c>
      <c r="C31" s="2">
        <f>$B$5*$B$6*$C$3</f>
        <v>9.0681818181818183</v>
      </c>
      <c r="D31">
        <f t="shared" si="2"/>
        <v>10.59</v>
      </c>
      <c r="E31" s="2">
        <f t="shared" si="3"/>
        <v>27.188484848484851</v>
      </c>
    </row>
    <row r="32" spans="1:7" x14ac:dyDescent="0.25">
      <c r="A32" t="s">
        <v>10</v>
      </c>
      <c r="B32" s="2">
        <f>$B$5*(1-$B$6)*$C$2</f>
        <v>7.5303030303030329</v>
      </c>
      <c r="C32" s="2">
        <f>$B$5*$B$6*$C$3</f>
        <v>9.0681818181818183</v>
      </c>
      <c r="D32">
        <f t="shared" si="2"/>
        <v>10.59</v>
      </c>
      <c r="E32" s="2">
        <f t="shared" si="3"/>
        <v>27.188484848484851</v>
      </c>
    </row>
    <row r="33" spans="1:7" x14ac:dyDescent="0.25">
      <c r="A33" t="s">
        <v>11</v>
      </c>
      <c r="B33" s="2">
        <f>$B$5*(1-$B$6)*$C$2</f>
        <v>7.5303030303030329</v>
      </c>
      <c r="C33" s="2">
        <f>$B$5*$B$6*$C$3</f>
        <v>9.0681818181818183</v>
      </c>
      <c r="D33">
        <f t="shared" si="2"/>
        <v>10.59</v>
      </c>
      <c r="E33" s="2">
        <f t="shared" si="3"/>
        <v>27.188484848484851</v>
      </c>
    </row>
    <row r="34" spans="1:7" x14ac:dyDescent="0.25">
      <c r="A34" t="s">
        <v>12</v>
      </c>
      <c r="B34" s="2">
        <f>$B$5*(1-$B$6)*$B$2</f>
        <v>9.1590909090909118</v>
      </c>
      <c r="C34" s="2">
        <f>$B$5*$B$6*$B$3</f>
        <v>10.358585858585858</v>
      </c>
      <c r="D34">
        <f t="shared" si="2"/>
        <v>10.59</v>
      </c>
      <c r="E34" s="2">
        <f t="shared" si="3"/>
        <v>30.107676767676768</v>
      </c>
    </row>
    <row r="35" spans="1:7" x14ac:dyDescent="0.25">
      <c r="A35" t="s">
        <v>13</v>
      </c>
      <c r="B35" s="2">
        <f>$B$5*(1-$B$6)*$B$2</f>
        <v>9.1590909090909118</v>
      </c>
      <c r="C35" s="2">
        <f>$B$5*$B$6*$B$3</f>
        <v>10.358585858585858</v>
      </c>
      <c r="D35">
        <f t="shared" si="2"/>
        <v>10.59</v>
      </c>
      <c r="E35" s="2">
        <f t="shared" si="3"/>
        <v>30.107676767676768</v>
      </c>
    </row>
    <row r="36" spans="1:7" x14ac:dyDescent="0.25">
      <c r="A36" t="s">
        <v>25</v>
      </c>
      <c r="B36" s="9">
        <f>SUM(B24:B35)</f>
        <v>101.76515151515153</v>
      </c>
      <c r="C36" s="9">
        <f t="shared" ref="C36:E36" si="4">SUM(C24:C35)</f>
        <v>117.85101010101008</v>
      </c>
      <c r="D36" s="9">
        <f t="shared" si="4"/>
        <v>127.08000000000003</v>
      </c>
      <c r="E36" s="9">
        <f t="shared" si="4"/>
        <v>346.69616161616165</v>
      </c>
    </row>
    <row r="38" spans="1:7" s="3" customFormat="1" ht="30" customHeight="1" x14ac:dyDescent="0.25">
      <c r="A38" s="4" t="s">
        <v>39</v>
      </c>
      <c r="B38" s="5" t="s">
        <v>16</v>
      </c>
      <c r="C38" s="5"/>
      <c r="D38" s="5"/>
    </row>
    <row r="39" spans="1:7" x14ac:dyDescent="0.25">
      <c r="A39" t="s">
        <v>2</v>
      </c>
      <c r="B39" s="2">
        <f>$B$5*$B$2</f>
        <v>30.530303030303031</v>
      </c>
      <c r="C39" s="2"/>
    </row>
    <row r="40" spans="1:7" x14ac:dyDescent="0.25">
      <c r="A40" t="s">
        <v>3</v>
      </c>
      <c r="B40" s="2">
        <f>$B$5*$B$2</f>
        <v>30.530303030303031</v>
      </c>
      <c r="C40" s="2"/>
    </row>
    <row r="41" spans="1:7" x14ac:dyDescent="0.25">
      <c r="A41" t="s">
        <v>4</v>
      </c>
      <c r="B41" s="2">
        <f>$B$5*$B$2</f>
        <v>30.530303030303031</v>
      </c>
      <c r="C41" s="2"/>
    </row>
    <row r="42" spans="1:7" x14ac:dyDescent="0.25">
      <c r="A42" t="s">
        <v>5</v>
      </c>
      <c r="B42" s="2">
        <f>$B$5*$B$2</f>
        <v>30.530303030303031</v>
      </c>
      <c r="C42" s="2"/>
    </row>
    <row r="43" spans="1:7" x14ac:dyDescent="0.25">
      <c r="A43" t="s">
        <v>6</v>
      </c>
      <c r="B43" s="2">
        <f>$B$5*$B$2</f>
        <v>30.530303030303031</v>
      </c>
      <c r="C43" s="2"/>
    </row>
    <row r="44" spans="1:7" x14ac:dyDescent="0.25">
      <c r="A44" t="s">
        <v>7</v>
      </c>
      <c r="B44" s="2">
        <f>$B$5*$C$2</f>
        <v>25.101010101010104</v>
      </c>
      <c r="C44" s="2"/>
      <c r="G44" s="2"/>
    </row>
    <row r="45" spans="1:7" x14ac:dyDescent="0.25">
      <c r="A45" t="s">
        <v>8</v>
      </c>
      <c r="B45" s="2">
        <f>$B$5*$C$2</f>
        <v>25.101010101010104</v>
      </c>
      <c r="C45" s="2"/>
    </row>
    <row r="46" spans="1:7" x14ac:dyDescent="0.25">
      <c r="A46" t="s">
        <v>9</v>
      </c>
      <c r="B46" s="2">
        <f>$B$5*$C$2</f>
        <v>25.101010101010104</v>
      </c>
      <c r="C46" s="2"/>
    </row>
    <row r="47" spans="1:7" x14ac:dyDescent="0.25">
      <c r="A47" t="s">
        <v>10</v>
      </c>
      <c r="B47" s="2">
        <f>$B$5*$C$2</f>
        <v>25.101010101010104</v>
      </c>
      <c r="C47" s="2"/>
    </row>
    <row r="48" spans="1:7" x14ac:dyDescent="0.25">
      <c r="A48" t="s">
        <v>11</v>
      </c>
      <c r="B48" s="2">
        <f>$B$5*$C$2</f>
        <v>25.101010101010104</v>
      </c>
      <c r="C48" s="2"/>
    </row>
    <row r="49" spans="1:3" x14ac:dyDescent="0.25">
      <c r="A49" t="s">
        <v>12</v>
      </c>
      <c r="B49" s="2">
        <f>$B$5*$B$2</f>
        <v>30.530303030303031</v>
      </c>
      <c r="C49" s="2"/>
    </row>
    <row r="50" spans="1:3" x14ac:dyDescent="0.25">
      <c r="A50" t="s">
        <v>13</v>
      </c>
      <c r="B50" s="2">
        <f>$B$5*$B$2</f>
        <v>30.530303030303031</v>
      </c>
      <c r="C50" s="2"/>
    </row>
    <row r="51" spans="1:3" x14ac:dyDescent="0.25">
      <c r="A51" t="s">
        <v>25</v>
      </c>
      <c r="B51" s="9">
        <f>SUM(B39:B50)</f>
        <v>339.21717171717171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1"/>
  <sheetViews>
    <sheetView workbookViewId="0">
      <selection activeCell="F6" sqref="F6"/>
    </sheetView>
  </sheetViews>
  <sheetFormatPr defaultRowHeight="15" x14ac:dyDescent="0.25"/>
  <cols>
    <col min="1" max="1" width="47.7109375" bestFit="1" customWidth="1"/>
    <col min="2" max="5" width="15.7109375" customWidth="1"/>
  </cols>
  <sheetData>
    <row r="1" spans="1:7" x14ac:dyDescent="0.25">
      <c r="A1" s="6" t="s">
        <v>23</v>
      </c>
      <c r="B1" s="7" t="s">
        <v>17</v>
      </c>
      <c r="C1" s="7" t="s">
        <v>18</v>
      </c>
      <c r="D1" s="7"/>
      <c r="E1" s="7"/>
    </row>
    <row r="2" spans="1:7" x14ac:dyDescent="0.25">
      <c r="A2" s="8" t="s">
        <v>20</v>
      </c>
      <c r="B2" s="21">
        <v>0.1171</v>
      </c>
      <c r="C2" s="21">
        <v>9.3200000000000005E-2</v>
      </c>
      <c r="D2" s="22" t="s">
        <v>45</v>
      </c>
    </row>
    <row r="3" spans="1:7" x14ac:dyDescent="0.25">
      <c r="A3" s="8" t="s">
        <v>19</v>
      </c>
      <c r="B3" s="21">
        <v>6.7299999999999999E-2</v>
      </c>
      <c r="C3" s="21">
        <v>5.9700000000000003E-2</v>
      </c>
      <c r="D3" s="22" t="s">
        <v>45</v>
      </c>
    </row>
    <row r="5" spans="1:7" x14ac:dyDescent="0.25">
      <c r="A5" s="6" t="s">
        <v>0</v>
      </c>
      <c r="B5">
        <f>REF!B15</f>
        <v>252.52525252525254</v>
      </c>
    </row>
    <row r="6" spans="1:7" x14ac:dyDescent="0.25">
      <c r="A6" s="6" t="s">
        <v>1</v>
      </c>
      <c r="B6" s="1">
        <f>Main!C4</f>
        <v>0.7</v>
      </c>
    </row>
    <row r="8" spans="1:7" s="3" customFormat="1" ht="30" customHeight="1" x14ac:dyDescent="0.25">
      <c r="A8" s="4" t="s">
        <v>38</v>
      </c>
      <c r="B8" s="5" t="s">
        <v>14</v>
      </c>
      <c r="C8" s="5" t="s">
        <v>15</v>
      </c>
      <c r="D8" s="5" t="s">
        <v>16</v>
      </c>
      <c r="E8" s="5"/>
    </row>
    <row r="9" spans="1:7" x14ac:dyDescent="0.25">
      <c r="A9" t="s">
        <v>2</v>
      </c>
      <c r="B9" s="2">
        <f>$B$5*(1-$B$6)*$B$2</f>
        <v>8.8712121212121229</v>
      </c>
      <c r="C9" s="2">
        <f>$B$5*$B$6*$B$3</f>
        <v>11.896464646464645</v>
      </c>
      <c r="D9" s="2">
        <f>B9+C9</f>
        <v>20.767676767676768</v>
      </c>
      <c r="E9" s="2"/>
    </row>
    <row r="10" spans="1:7" x14ac:dyDescent="0.25">
      <c r="A10" t="s">
        <v>3</v>
      </c>
      <c r="B10" s="2">
        <f t="shared" ref="B10:B20" si="0">$B$5*(1-$B$6)*$B$2</f>
        <v>8.8712121212121229</v>
      </c>
      <c r="C10" s="2">
        <f t="shared" ref="C10:C20" si="1">$B$5*$B$6*$B$3</f>
        <v>11.896464646464645</v>
      </c>
      <c r="D10" s="2">
        <f t="shared" ref="D10:D20" si="2">B10+C10</f>
        <v>20.767676767676768</v>
      </c>
      <c r="E10" s="2"/>
    </row>
    <row r="11" spans="1:7" x14ac:dyDescent="0.25">
      <c r="A11" t="s">
        <v>4</v>
      </c>
      <c r="B11" s="2">
        <f t="shared" si="0"/>
        <v>8.8712121212121229</v>
      </c>
      <c r="C11" s="2">
        <f t="shared" si="1"/>
        <v>11.896464646464645</v>
      </c>
      <c r="D11" s="2">
        <f t="shared" si="2"/>
        <v>20.767676767676768</v>
      </c>
      <c r="E11" s="2"/>
    </row>
    <row r="12" spans="1:7" x14ac:dyDescent="0.25">
      <c r="A12" t="s">
        <v>5</v>
      </c>
      <c r="B12" s="2">
        <f t="shared" si="0"/>
        <v>8.8712121212121229</v>
      </c>
      <c r="C12" s="2">
        <f t="shared" si="1"/>
        <v>11.896464646464645</v>
      </c>
      <c r="D12" s="2">
        <f t="shared" si="2"/>
        <v>20.767676767676768</v>
      </c>
      <c r="E12" s="2"/>
    </row>
    <row r="13" spans="1:7" x14ac:dyDescent="0.25">
      <c r="A13" t="s">
        <v>6</v>
      </c>
      <c r="B13" s="2">
        <f t="shared" si="0"/>
        <v>8.8712121212121229</v>
      </c>
      <c r="C13" s="2">
        <f t="shared" si="1"/>
        <v>11.896464646464645</v>
      </c>
      <c r="D13" s="2">
        <f t="shared" si="2"/>
        <v>20.767676767676768</v>
      </c>
      <c r="E13" s="2"/>
    </row>
    <row r="14" spans="1:7" x14ac:dyDescent="0.25">
      <c r="A14" t="s">
        <v>7</v>
      </c>
      <c r="B14" s="2">
        <f>$B$5*(1-$B$6)*$C$2</f>
        <v>7.0606060606060632</v>
      </c>
      <c r="C14" s="2">
        <f>$B$5*$B$6*$C$3</f>
        <v>10.553030303030303</v>
      </c>
      <c r="D14" s="2">
        <f t="shared" si="2"/>
        <v>17.613636363636367</v>
      </c>
      <c r="E14" s="2"/>
      <c r="G14" s="2"/>
    </row>
    <row r="15" spans="1:7" x14ac:dyDescent="0.25">
      <c r="A15" t="s">
        <v>8</v>
      </c>
      <c r="B15" s="2">
        <f t="shared" ref="B15:B18" si="3">$B$5*(1-$B$6)*$C$2</f>
        <v>7.0606060606060632</v>
      </c>
      <c r="C15" s="2">
        <f t="shared" ref="C15:C18" si="4">$B$5*$B$6*$C$3</f>
        <v>10.553030303030303</v>
      </c>
      <c r="D15" s="2">
        <f t="shared" si="2"/>
        <v>17.613636363636367</v>
      </c>
      <c r="E15" s="2"/>
    </row>
    <row r="16" spans="1:7" x14ac:dyDescent="0.25">
      <c r="A16" t="s">
        <v>9</v>
      </c>
      <c r="B16" s="2">
        <f t="shared" si="3"/>
        <v>7.0606060606060632</v>
      </c>
      <c r="C16" s="2">
        <f t="shared" si="4"/>
        <v>10.553030303030303</v>
      </c>
      <c r="D16" s="2">
        <f t="shared" si="2"/>
        <v>17.613636363636367</v>
      </c>
      <c r="E16" s="2"/>
    </row>
    <row r="17" spans="1:7" x14ac:dyDescent="0.25">
      <c r="A17" t="s">
        <v>10</v>
      </c>
      <c r="B17" s="2">
        <f t="shared" si="3"/>
        <v>7.0606060606060632</v>
      </c>
      <c r="C17" s="2">
        <f t="shared" si="4"/>
        <v>10.553030303030303</v>
      </c>
      <c r="D17" s="2">
        <f t="shared" si="2"/>
        <v>17.613636363636367</v>
      </c>
      <c r="E17" s="2"/>
    </row>
    <row r="18" spans="1:7" x14ac:dyDescent="0.25">
      <c r="A18" t="s">
        <v>11</v>
      </c>
      <c r="B18" s="2">
        <f t="shared" si="3"/>
        <v>7.0606060606060632</v>
      </c>
      <c r="C18" s="2">
        <f t="shared" si="4"/>
        <v>10.553030303030303</v>
      </c>
      <c r="D18" s="2">
        <f t="shared" si="2"/>
        <v>17.613636363636367</v>
      </c>
      <c r="E18" s="2"/>
    </row>
    <row r="19" spans="1:7" x14ac:dyDescent="0.25">
      <c r="A19" t="s">
        <v>12</v>
      </c>
      <c r="B19" s="2">
        <f t="shared" si="0"/>
        <v>8.8712121212121229</v>
      </c>
      <c r="C19" s="2">
        <f t="shared" si="1"/>
        <v>11.896464646464645</v>
      </c>
      <c r="D19" s="2">
        <f t="shared" si="2"/>
        <v>20.767676767676768</v>
      </c>
      <c r="E19" s="2"/>
    </row>
    <row r="20" spans="1:7" x14ac:dyDescent="0.25">
      <c r="A20" t="s">
        <v>13</v>
      </c>
      <c r="B20" s="2">
        <f t="shared" si="0"/>
        <v>8.8712121212121229</v>
      </c>
      <c r="C20" s="2">
        <f t="shared" si="1"/>
        <v>11.896464646464645</v>
      </c>
      <c r="D20" s="2">
        <f t="shared" si="2"/>
        <v>20.767676767676768</v>
      </c>
      <c r="E20" s="2"/>
    </row>
    <row r="21" spans="1:7" x14ac:dyDescent="0.25">
      <c r="A21" t="s">
        <v>25</v>
      </c>
      <c r="B21" s="9">
        <f>SUM(B9:B20)</f>
        <v>97.401515151515184</v>
      </c>
      <c r="C21" s="9">
        <f t="shared" ref="C21:D21" si="5">SUM(C9:C20)</f>
        <v>136.04040404040401</v>
      </c>
      <c r="D21" s="9">
        <f t="shared" si="5"/>
        <v>233.44191919191923</v>
      </c>
      <c r="E21" s="2"/>
    </row>
    <row r="23" spans="1:7" s="3" customFormat="1" ht="30" customHeight="1" x14ac:dyDescent="0.25">
      <c r="A23" s="4" t="s">
        <v>37</v>
      </c>
      <c r="B23" s="5" t="s">
        <v>14</v>
      </c>
      <c r="C23" s="5" t="s">
        <v>15</v>
      </c>
      <c r="D23" s="5" t="s">
        <v>24</v>
      </c>
      <c r="E23" s="5" t="s">
        <v>16</v>
      </c>
    </row>
    <row r="24" spans="1:7" x14ac:dyDescent="0.25">
      <c r="A24" t="s">
        <v>2</v>
      </c>
      <c r="B24" s="2">
        <f>$B$5*(1-$B$6)*$B$2</f>
        <v>8.8712121212121229</v>
      </c>
      <c r="C24" s="2">
        <f>$B$5*$B$6*$B$3</f>
        <v>11.896464646464645</v>
      </c>
      <c r="D24">
        <f t="shared" ref="D24:D35" si="6">EVSE</f>
        <v>10.59</v>
      </c>
      <c r="E24" s="2">
        <f>B24+C24+D24</f>
        <v>31.357676767676768</v>
      </c>
    </row>
    <row r="25" spans="1:7" x14ac:dyDescent="0.25">
      <c r="A25" t="s">
        <v>3</v>
      </c>
      <c r="B25" s="2">
        <f t="shared" ref="B25:B28" si="7">$B$5*(1-$B$6)*$B$2</f>
        <v>8.8712121212121229</v>
      </c>
      <c r="C25" s="2">
        <f t="shared" ref="C25:C35" si="8">$B$5*$B$6*$B$3</f>
        <v>11.896464646464645</v>
      </c>
      <c r="D25">
        <f t="shared" si="6"/>
        <v>10.59</v>
      </c>
      <c r="E25" s="2">
        <f t="shared" ref="E25:E35" si="9">B25+C25+D25</f>
        <v>31.357676767676768</v>
      </c>
    </row>
    <row r="26" spans="1:7" x14ac:dyDescent="0.25">
      <c r="A26" t="s">
        <v>4</v>
      </c>
      <c r="B26" s="2">
        <f t="shared" si="7"/>
        <v>8.8712121212121229</v>
      </c>
      <c r="C26" s="2">
        <f t="shared" si="8"/>
        <v>11.896464646464645</v>
      </c>
      <c r="D26">
        <f t="shared" si="6"/>
        <v>10.59</v>
      </c>
      <c r="E26" s="2">
        <f t="shared" si="9"/>
        <v>31.357676767676768</v>
      </c>
    </row>
    <row r="27" spans="1:7" x14ac:dyDescent="0.25">
      <c r="A27" t="s">
        <v>5</v>
      </c>
      <c r="B27" s="2">
        <f t="shared" si="7"/>
        <v>8.8712121212121229</v>
      </c>
      <c r="C27" s="2">
        <f t="shared" si="8"/>
        <v>11.896464646464645</v>
      </c>
      <c r="D27">
        <f t="shared" si="6"/>
        <v>10.59</v>
      </c>
      <c r="E27" s="2">
        <f t="shared" si="9"/>
        <v>31.357676767676768</v>
      </c>
    </row>
    <row r="28" spans="1:7" x14ac:dyDescent="0.25">
      <c r="A28" t="s">
        <v>6</v>
      </c>
      <c r="B28" s="2">
        <f t="shared" si="7"/>
        <v>8.8712121212121229</v>
      </c>
      <c r="C28" s="2">
        <f t="shared" si="8"/>
        <v>11.896464646464645</v>
      </c>
      <c r="D28">
        <f t="shared" si="6"/>
        <v>10.59</v>
      </c>
      <c r="E28" s="2">
        <f t="shared" si="9"/>
        <v>31.357676767676768</v>
      </c>
    </row>
    <row r="29" spans="1:7" x14ac:dyDescent="0.25">
      <c r="A29" t="s">
        <v>7</v>
      </c>
      <c r="B29" s="2">
        <f>$B$5*(1-$B$6)*$C$2</f>
        <v>7.0606060606060632</v>
      </c>
      <c r="C29" s="2">
        <f>$B$5*$B$6*$C$3</f>
        <v>10.553030303030303</v>
      </c>
      <c r="D29">
        <f t="shared" si="6"/>
        <v>10.59</v>
      </c>
      <c r="E29" s="2">
        <f t="shared" si="9"/>
        <v>28.203636363636367</v>
      </c>
      <c r="G29" s="2"/>
    </row>
    <row r="30" spans="1:7" x14ac:dyDescent="0.25">
      <c r="A30" t="s">
        <v>8</v>
      </c>
      <c r="B30" s="2">
        <f t="shared" ref="B30:B33" si="10">$B$5*(1-$B$6)*$C$2</f>
        <v>7.0606060606060632</v>
      </c>
      <c r="C30" s="2">
        <f t="shared" ref="C30:C33" si="11">$B$5*$B$6*$C$3</f>
        <v>10.553030303030303</v>
      </c>
      <c r="D30">
        <f t="shared" si="6"/>
        <v>10.59</v>
      </c>
      <c r="E30" s="2">
        <f t="shared" si="9"/>
        <v>28.203636363636367</v>
      </c>
    </row>
    <row r="31" spans="1:7" x14ac:dyDescent="0.25">
      <c r="A31" t="s">
        <v>9</v>
      </c>
      <c r="B31" s="2">
        <f t="shared" si="10"/>
        <v>7.0606060606060632</v>
      </c>
      <c r="C31" s="2">
        <f t="shared" si="11"/>
        <v>10.553030303030303</v>
      </c>
      <c r="D31">
        <f t="shared" si="6"/>
        <v>10.59</v>
      </c>
      <c r="E31" s="2">
        <f t="shared" si="9"/>
        <v>28.203636363636367</v>
      </c>
    </row>
    <row r="32" spans="1:7" x14ac:dyDescent="0.25">
      <c r="A32" t="s">
        <v>10</v>
      </c>
      <c r="B32" s="2">
        <f t="shared" si="10"/>
        <v>7.0606060606060632</v>
      </c>
      <c r="C32" s="2">
        <f t="shared" si="11"/>
        <v>10.553030303030303</v>
      </c>
      <c r="D32">
        <f t="shared" si="6"/>
        <v>10.59</v>
      </c>
      <c r="E32" s="2">
        <f t="shared" si="9"/>
        <v>28.203636363636367</v>
      </c>
    </row>
    <row r="33" spans="1:7" x14ac:dyDescent="0.25">
      <c r="A33" t="s">
        <v>11</v>
      </c>
      <c r="B33" s="2">
        <f t="shared" si="10"/>
        <v>7.0606060606060632</v>
      </c>
      <c r="C33" s="2">
        <f t="shared" si="11"/>
        <v>10.553030303030303</v>
      </c>
      <c r="D33">
        <f t="shared" si="6"/>
        <v>10.59</v>
      </c>
      <c r="E33" s="2">
        <f t="shared" si="9"/>
        <v>28.203636363636367</v>
      </c>
    </row>
    <row r="34" spans="1:7" x14ac:dyDescent="0.25">
      <c r="A34" t="s">
        <v>12</v>
      </c>
      <c r="B34" s="2">
        <f>$B$5*(1-$B$6)*$B$2</f>
        <v>8.8712121212121229</v>
      </c>
      <c r="C34" s="2">
        <f t="shared" si="8"/>
        <v>11.896464646464645</v>
      </c>
      <c r="D34">
        <f t="shared" si="6"/>
        <v>10.59</v>
      </c>
      <c r="E34" s="2">
        <f t="shared" si="9"/>
        <v>31.357676767676768</v>
      </c>
    </row>
    <row r="35" spans="1:7" x14ac:dyDescent="0.25">
      <c r="A35" t="s">
        <v>13</v>
      </c>
      <c r="B35" s="2">
        <f>$B$5*(1-$B$6)*$B$2</f>
        <v>8.8712121212121229</v>
      </c>
      <c r="C35" s="2">
        <f t="shared" si="8"/>
        <v>11.896464646464645</v>
      </c>
      <c r="D35">
        <f t="shared" si="6"/>
        <v>10.59</v>
      </c>
      <c r="E35" s="2">
        <f t="shared" si="9"/>
        <v>31.357676767676768</v>
      </c>
    </row>
    <row r="36" spans="1:7" x14ac:dyDescent="0.25">
      <c r="A36" t="s">
        <v>25</v>
      </c>
      <c r="B36" s="9">
        <f>SUM(B24:B35)</f>
        <v>97.401515151515184</v>
      </c>
      <c r="C36" s="9">
        <f t="shared" ref="C36:E36" si="12">SUM(C24:C35)</f>
        <v>136.04040404040401</v>
      </c>
      <c r="D36" s="9">
        <f t="shared" si="12"/>
        <v>127.08000000000003</v>
      </c>
      <c r="E36" s="9">
        <f t="shared" si="12"/>
        <v>360.52191919191921</v>
      </c>
    </row>
    <row r="38" spans="1:7" s="3" customFormat="1" ht="30" customHeight="1" x14ac:dyDescent="0.25">
      <c r="A38" s="4" t="s">
        <v>40</v>
      </c>
      <c r="B38" s="5" t="s">
        <v>16</v>
      </c>
      <c r="C38" s="5"/>
      <c r="D38" s="5"/>
    </row>
    <row r="39" spans="1:7" x14ac:dyDescent="0.25">
      <c r="A39" t="s">
        <v>2</v>
      </c>
      <c r="B39" s="2">
        <f>$B$5*$B$2</f>
        <v>29.570707070707073</v>
      </c>
      <c r="C39" s="2"/>
    </row>
    <row r="40" spans="1:7" x14ac:dyDescent="0.25">
      <c r="A40" t="s">
        <v>3</v>
      </c>
      <c r="B40" s="2">
        <f t="shared" ref="B40:B50" si="13">$B$5*$B$2</f>
        <v>29.570707070707073</v>
      </c>
      <c r="C40" s="2"/>
    </row>
    <row r="41" spans="1:7" x14ac:dyDescent="0.25">
      <c r="A41" t="s">
        <v>4</v>
      </c>
      <c r="B41" s="2">
        <f t="shared" si="13"/>
        <v>29.570707070707073</v>
      </c>
      <c r="C41" s="2"/>
    </row>
    <row r="42" spans="1:7" x14ac:dyDescent="0.25">
      <c r="A42" t="s">
        <v>5</v>
      </c>
      <c r="B42" s="2">
        <f t="shared" si="13"/>
        <v>29.570707070707073</v>
      </c>
      <c r="C42" s="2"/>
    </row>
    <row r="43" spans="1:7" x14ac:dyDescent="0.25">
      <c r="A43" t="s">
        <v>6</v>
      </c>
      <c r="B43" s="2">
        <f t="shared" si="13"/>
        <v>29.570707070707073</v>
      </c>
      <c r="C43" s="2"/>
    </row>
    <row r="44" spans="1:7" x14ac:dyDescent="0.25">
      <c r="A44" t="s">
        <v>7</v>
      </c>
      <c r="B44" s="2">
        <f>$B$5*$C$2</f>
        <v>23.535353535353536</v>
      </c>
      <c r="C44" s="2"/>
      <c r="G44" s="2"/>
    </row>
    <row r="45" spans="1:7" x14ac:dyDescent="0.25">
      <c r="A45" t="s">
        <v>8</v>
      </c>
      <c r="B45" s="2">
        <f t="shared" ref="B45:B48" si="14">$B$5*$C$2</f>
        <v>23.535353535353536</v>
      </c>
      <c r="C45" s="2"/>
    </row>
    <row r="46" spans="1:7" x14ac:dyDescent="0.25">
      <c r="A46" t="s">
        <v>9</v>
      </c>
      <c r="B46" s="2">
        <f t="shared" si="14"/>
        <v>23.535353535353536</v>
      </c>
      <c r="C46" s="2"/>
    </row>
    <row r="47" spans="1:7" x14ac:dyDescent="0.25">
      <c r="A47" t="s">
        <v>10</v>
      </c>
      <c r="B47" s="2">
        <f t="shared" si="14"/>
        <v>23.535353535353536</v>
      </c>
      <c r="C47" s="2"/>
    </row>
    <row r="48" spans="1:7" x14ac:dyDescent="0.25">
      <c r="A48" t="s">
        <v>11</v>
      </c>
      <c r="B48" s="2">
        <f t="shared" si="14"/>
        <v>23.535353535353536</v>
      </c>
      <c r="C48" s="2"/>
    </row>
    <row r="49" spans="1:3" x14ac:dyDescent="0.25">
      <c r="A49" t="s">
        <v>12</v>
      </c>
      <c r="B49" s="2">
        <f t="shared" si="13"/>
        <v>29.570707070707073</v>
      </c>
      <c r="C49" s="2"/>
    </row>
    <row r="50" spans="1:3" x14ac:dyDescent="0.25">
      <c r="A50" t="s">
        <v>13</v>
      </c>
      <c r="B50" s="2">
        <f t="shared" si="13"/>
        <v>29.570707070707073</v>
      </c>
      <c r="C50" s="2"/>
    </row>
    <row r="51" spans="1:3" x14ac:dyDescent="0.25">
      <c r="A51" t="s">
        <v>25</v>
      </c>
      <c r="B51" s="9">
        <f>SUM(B39:B50)</f>
        <v>324.67171717171709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1"/>
  <sheetViews>
    <sheetView workbookViewId="0">
      <selection activeCell="B19" sqref="B19"/>
    </sheetView>
  </sheetViews>
  <sheetFormatPr defaultRowHeight="15" x14ac:dyDescent="0.25"/>
  <cols>
    <col min="1" max="1" width="41.42578125" bestFit="1" customWidth="1"/>
    <col min="2" max="2" width="12" bestFit="1" customWidth="1"/>
  </cols>
  <sheetData>
    <row r="1" spans="1:3" x14ac:dyDescent="0.25">
      <c r="A1" t="str">
        <f>IF(Main!$C$2="Residential",'Residential Example'!A8,'Commercial Example'!A8)</f>
        <v>Off-Peak Charging Rate Only*</v>
      </c>
      <c r="B1" s="14">
        <f>IF(Main!$C$2="Residential",'Residential Example'!D21,'Commercial Example'!D21)</f>
        <v>219.61616161616158</v>
      </c>
    </row>
    <row r="2" spans="1:3" x14ac:dyDescent="0.25">
      <c r="A2" t="str">
        <f>IF(Main!$C$2="Residential",'Residential Example'!A23,'Commercial Example'!A23)</f>
        <v>Off-Peak Charging and Equipment Rental</v>
      </c>
      <c r="B2" s="14">
        <f>IF(Main!$C$2="Residential",'Residential Example'!E36,'Commercial Example'!E36)</f>
        <v>346.69616161616165</v>
      </c>
      <c r="C2" s="14">
        <f>B2-B1</f>
        <v>127.08000000000007</v>
      </c>
    </row>
    <row r="3" spans="1:3" x14ac:dyDescent="0.25">
      <c r="A3" t="str">
        <f>IF(Main!$C$2="Residential",'Residential Example'!A38,'Commercial Example'!A38)</f>
        <v>General Residential Rate**</v>
      </c>
      <c r="B3" s="14">
        <f>IF(Main!$C$2="Residential",'Residential Example'!B51,'Commercial Example'!B51)</f>
        <v>339.21717171717171</v>
      </c>
    </row>
    <row r="4" spans="1:3" x14ac:dyDescent="0.25">
      <c r="A4" t="str">
        <f>"Cost for Gas Vehicle at "&amp;Main!F2&amp;" MPG"</f>
        <v>Cost for Gas Vehicle at 25 MPG</v>
      </c>
      <c r="B4" s="9">
        <f>(Main!C3/Main!F2)*Main!F3</f>
        <v>1939.9999999999998</v>
      </c>
    </row>
    <row r="7" spans="1:3" x14ac:dyDescent="0.25">
      <c r="A7" t="s">
        <v>31</v>
      </c>
    </row>
    <row r="8" spans="1:3" x14ac:dyDescent="0.25">
      <c r="A8" t="s">
        <v>29</v>
      </c>
    </row>
    <row r="10" spans="1:3" x14ac:dyDescent="0.25">
      <c r="A10" t="s">
        <v>44</v>
      </c>
      <c r="B10" s="23">
        <v>10.59</v>
      </c>
      <c r="C10" s="22" t="s">
        <v>45</v>
      </c>
    </row>
    <row r="12" spans="1:3" x14ac:dyDescent="0.25">
      <c r="A12" t="s">
        <v>30</v>
      </c>
      <c r="B12" s="13">
        <f>Main!$C$3</f>
        <v>10000</v>
      </c>
    </row>
    <row r="13" spans="1:3" x14ac:dyDescent="0.25">
      <c r="A13" t="s">
        <v>32</v>
      </c>
      <c r="B13">
        <v>3.3</v>
      </c>
    </row>
    <row r="14" spans="1:3" x14ac:dyDescent="0.25">
      <c r="A14" t="s">
        <v>33</v>
      </c>
      <c r="B14">
        <f>B12/B13</f>
        <v>3030.3030303030305</v>
      </c>
    </row>
    <row r="15" spans="1:3" x14ac:dyDescent="0.25">
      <c r="A15" t="s">
        <v>34</v>
      </c>
      <c r="B15">
        <f>B14/12</f>
        <v>252.52525252525254</v>
      </c>
    </row>
    <row r="18" spans="1:2" x14ac:dyDescent="0.25">
      <c r="A18" t="s">
        <v>42</v>
      </c>
      <c r="B18" s="20">
        <f>ROUND(Main!F4/(REF!B2-REF!B1),1)</f>
        <v>11.8</v>
      </c>
    </row>
    <row r="19" spans="1:2" x14ac:dyDescent="0.25">
      <c r="A19" t="s">
        <v>43</v>
      </c>
      <c r="B19" s="20">
        <f>ROUND(600/(B2-B3),1)</f>
        <v>80.2</v>
      </c>
    </row>
    <row r="21" spans="1:2" x14ac:dyDescent="0.25">
      <c r="B21" t="str">
        <f>IF(B19&lt;0,"not pay off","have a simple payback of "&amp;B19&amp;" years")</f>
        <v>have a simple payback of 80.2 years</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Main</vt:lpstr>
      <vt:lpstr>Residential Example</vt:lpstr>
      <vt:lpstr>Commercial Example</vt:lpstr>
      <vt:lpstr>REF</vt:lpstr>
      <vt:lpstr>ACCT</vt:lpstr>
      <vt:lpstr>EVSE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Alec Mesdag</dc:creator>
  <cp:lastModifiedBy>Lori Sowa</cp:lastModifiedBy>
  <dcterms:created xsi:type="dcterms:W3CDTF">2016-11-28T20:14:57Z</dcterms:created>
  <dcterms:modified xsi:type="dcterms:W3CDTF">2022-10-04T23:39:28Z</dcterms:modified>
</cp:coreProperties>
</file>